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/>
  <mc:AlternateContent xmlns:mc="http://schemas.openxmlformats.org/markup-compatibility/2006">
    <mc:Choice Requires="x15">
      <x15ac:absPath xmlns:x15ac="http://schemas.microsoft.com/office/spreadsheetml/2010/11/ac" url="/Users/med018345/AAATEXTOS2/TRABAJO PROPIO/WEBMIA2015/ARTICULOSWEBMIA15/"/>
    </mc:Choice>
  </mc:AlternateContent>
  <xr:revisionPtr revIDLastSave="0" documentId="13_ncr:1_{D2A8E178-3305-7542-A41A-B041DC660508}" xr6:coauthVersionLast="47" xr6:coauthVersionMax="47" xr10:uidLastSave="{00000000-0000-0000-0000-000000000000}"/>
  <workbookProtection workbookAlgorithmName="SHA-512" workbookHashValue="wuED6c7jIKawN5RieOd0k5r++8qwrNy9jlVPDPx7cElIjK1CnLqMpKBATw98EIRJmdp7l+5OHuZJA04QyWDwKQ==" workbookSaltValue="KqSlUoYzdu4gAS4/owh3YQ==" workbookSpinCount="100000" lockStructure="1"/>
  <bookViews>
    <workbookView xWindow="8500" yWindow="2040" windowWidth="29580" windowHeight="21240" tabRatio="500" xr2:uid="{00000000-000D-0000-FFFF-FFFF00000000}"/>
  </bookViews>
  <sheets>
    <sheet name="Protocolo" sheetId="1" r:id="rId1"/>
    <sheet name="Referencias" sheetId="2" r:id="rId2"/>
  </sheets>
  <calcPr calcId="191029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9" i="1" l="1"/>
  <c r="E25" i="1" s="1"/>
  <c r="B20" i="1"/>
  <c r="C12" i="1"/>
  <c r="C9" i="1"/>
  <c r="C6" i="1"/>
  <c r="B25" i="1"/>
  <c r="B24" i="1"/>
  <c r="B23" i="1"/>
  <c r="B15" i="1"/>
  <c r="B16" i="1" s="1"/>
  <c r="B17" i="1" l="1"/>
  <c r="B18" i="1" s="1"/>
  <c r="E24" i="1"/>
  <c r="E23" i="1"/>
  <c r="C23" i="1" l="1"/>
  <c r="D23" i="1" s="1"/>
  <c r="H23" i="1" s="1"/>
  <c r="C25" i="1"/>
  <c r="D25" i="1" s="1"/>
  <c r="H25" i="1" s="1"/>
  <c r="C24" i="1"/>
  <c r="D24" i="1" s="1"/>
  <c r="H24" i="1" s="1"/>
  <c r="F24" i="1" l="1"/>
  <c r="G24" i="1"/>
  <c r="G25" i="1"/>
  <c r="F25" i="1"/>
  <c r="G23" i="1"/>
  <c r="F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B15" authorId="0" shapeId="0" xr:uid="{00000000-0006-0000-0000-000001000000}">
      <text>
        <r>
          <rPr>
            <sz val="10"/>
            <rFont val="Arial"/>
            <family val="2"/>
          </rPr>
          <t>de Souza e Silva CG et al. Eur J Prev Cardiol 2018;25:742-50 (FRIEND). Ecuación original en libras y pulgadas: aquí se convierte desde kg y cm. Sexo V=1, M=2; modalidad bici=2. EEE 6,6 mL/kg/min.</t>
        </r>
      </text>
    </comment>
    <comment ref="B19" authorId="0" shapeId="0" xr:uid="{00000000-0006-0000-0000-000002000000}">
      <text>
        <r>
          <rPr>
            <sz val="10"/>
            <color rgb="FF000000"/>
            <rFont val="Arial"/>
            <family val="2"/>
          </rPr>
          <t>Criterio del autor: 10 W/min cardiópata o sedentario, 15 algo activo, 20 activo, 25-30 deportista/ciclista. No se impone: si el incremento queda por debajo, aparece un aviso.</t>
        </r>
      </text>
    </comment>
    <comment ref="B20" authorId="0" shapeId="0" xr:uid="{00000000-0006-0000-0000-000003000000}">
      <text>
        <r>
          <rPr>
            <sz val="10"/>
            <color rgb="FF000000"/>
            <rFont val="Arial"/>
            <family val="2"/>
          </rPr>
          <t>Criterio orientativo del autor. FRIEND no incluye la actividad física y se derivó en sanos (sobrestima en cardiópatas/sedentarios). Orden de magnitud: cada punto de la escala PA-R (0-7) suma 1,59 mL/kg/min (Jackson 1990).</t>
        </r>
      </text>
    </comment>
  </commentList>
</comments>
</file>

<file path=xl/sharedStrings.xml><?xml version="1.0" encoding="utf-8"?>
<sst xmlns="http://schemas.openxmlformats.org/spreadsheetml/2006/main" count="59" uniqueCount="59">
  <si>
    <t>CALCULADORA DE PROTOCOLO EN CICLOERGÓMETRO</t>
  </si>
  <si>
    <t>1. DATOS DEL PACIENTE</t>
  </si>
  <si>
    <t>CÓMO USAR LA CALCULADORA</t>
  </si>
  <si>
    <t>Edad (años)</t>
  </si>
  <si>
    <t>2. Ecuación VO₂ → W: deje «FRIEND ciclo» (recomendada) salvo que prefiera otra.</t>
  </si>
  <si>
    <t>Peso (kg)</t>
  </si>
  <si>
    <t>3. Vaya al bloque 3 y elija la fila según quiera escalones de 1, 2 o 3 minutos.</t>
  </si>
  <si>
    <t>Talla (cm)</t>
  </si>
  <si>
    <t>4. La carga propuesta aparece en la columna INCREMENTO A APLICAR (en rojo): son los vatios que se suben en cada escalón.</t>
  </si>
  <si>
    <t xml:space="preserve">   Ejemplo: 15 en la fila de 1 min = empezar en la carga inicial y subir 15 W cada minuto; 35 en la fila de 2 min = subir 35 W cada 2 minutos.</t>
  </si>
  <si>
    <t>Carga inicial (W)</t>
  </si>
  <si>
    <t>Según ergómetro (mínimo del equipo). Por defecto 20 W.</t>
  </si>
  <si>
    <t>Tiempo aproximado deseado (min, 8-12)</t>
  </si>
  <si>
    <t>Objetivo habitual 8-12 min (ATS/ACCP 2003; Buchfuhrer 1983).</t>
  </si>
  <si>
    <t>FRIEND ciclo</t>
  </si>
  <si>
    <t>2. CÁLCULOS</t>
  </si>
  <si>
    <t>VO₂máx teórico en cicloergómetro (mL/kg/min)</t>
  </si>
  <si>
    <t>METs máximos teóricos (sin ajustar)</t>
  </si>
  <si>
    <t>Vatios máximos teóricos, sin ajustar (W)</t>
  </si>
  <si>
    <t>VATIOS MÁXIMOS AJUSTADOS AL PACIENTE (W)</t>
  </si>
  <si>
    <t>Vatios teóricos × factor de perfil (fila 20). Es el valor que usa el protocolo.</t>
  </si>
  <si>
    <t>Incremento mínimo por minuto según perfil (W/min)</t>
  </si>
  <si>
    <t>Factor de ajuste según perfil</t>
  </si>
  <si>
    <t>3. PROTOCOLOS PROPUESTOS</t>
  </si>
  <si>
    <t>Duración del escalón (min)</t>
  </si>
  <si>
    <t>Nº de escalones</t>
  </si>
  <si>
    <t>W por escalón (exacto)</t>
  </si>
  <si>
    <t>INCREMENTO A APLICAR (W)</t>
  </si>
  <si>
    <t>Mínimo habitual del perfil (W)</t>
  </si>
  <si>
    <t>Aviso</t>
  </si>
  <si>
    <t>Minuto en que se completa el escalón de Wmáx</t>
  </si>
  <si>
    <t>NOTAS Y REFERENCIAS</t>
  </si>
  <si>
    <t>• VO₂ → W: por defecto, despeje de la ecuación FRIEND de cicloergómetro (Kokkinos 2018), coherente con la ecuación de VO₂máx (ambas FRIEND). Wasserman/Hansen da ≈10-15% menos y ACSM (estado estable) ≈20% menos.</t>
  </si>
  <si>
    <t>1. de Souza e Silva CG, Kaminsky LA, Arena R, et al. A reference equation for maximal aerobic power for treadmill and cycle ergometer exercise testing: analysis from the FRIEND registry. Eur J Prev Cardiol. 2018;25(7):742-750.</t>
  </si>
  <si>
    <t>2. American Thoracic Society; American College of Chest Physicians. ATS/ACCP statement on cardiopulmonary exercise testing. Am J Respir Crit Care Med. 2003;167(2):211-277.</t>
  </si>
  <si>
    <t>4. American College of Sports Medicine. ACSM's Guidelines for Exercise Testing and Prescription. 11.ª ed. Wolters Kluwer; 2021.</t>
  </si>
  <si>
    <t>5. Kokkinos P, Kaminsky LA, Arena R, Zhang J, Myers J. A new generalized cycle ergometry equation for predicting maximal oxygen uptake: the FRIEND registry. Eur J Prev Cardiol. 2018;25(10):1077-1082.</t>
  </si>
  <si>
    <t>6. Hansen JE, Casaburi R, Cooper DM, Wasserman K. Oxygen uptake as related to work rate increment during cycle ergometer exercise. Eur J Appl Physiol Occup Physiol. 1988;57(2):140-145.</t>
  </si>
  <si>
    <t>7. Jackson AS, Blair SN, Mahar MT, Wier LT, Ross RM, Stuteville JE. Prediction of functional aerobic capacity without exercise testing. Med Sci Sports Exerc. 1990;22(6):863-870.</t>
  </si>
  <si>
    <t>medicodeldeporte.es</t>
  </si>
  <si>
    <t>REFERENCIAS BIBLIOGRÁFICAS</t>
  </si>
  <si>
    <t xml:space="preserve">FRIEND: (VO₂−3,5)×peso/10,6488 · Wasserman: (VO₂abs−5,8×peso−151)/10,1 · </t>
  </si>
  <si>
    <t>ACSM: (VO₂−7)×peso/11,016</t>
  </si>
  <si>
    <t xml:space="preserve">El primer escalón es la carga inicial; los W se reparten entre los escalones restantes. Se redondea al múltiplo de 5 W más cercano (válido en cualquier cicloergómetro), </t>
  </si>
  <si>
    <t>por lo que la duración real puede variar ±1-2 min respecto al tiempo deseado.</t>
  </si>
  <si>
    <t xml:space="preserve">1. Rellene solo las casillas AMARILLAS del bloque 1: edad, sexo, peso (kg), talla (cm), perfil del paciente (ajusta los vatios máximos), carga </t>
  </si>
  <si>
    <t>inicial (W) y tiempo aproximado deseado (8-12 min). Sexo, perfil y ecuación son desplegables.</t>
  </si>
  <si>
    <t>Sexo ▼</t>
  </si>
  <si>
    <t>Perfil del paciente ▼</t>
  </si>
  <si>
    <t>Ecuación VO₂ → W ▼</t>
  </si>
  <si>
    <t>6. Es orientativo: ajústelo al paciente.</t>
  </si>
  <si>
    <t xml:space="preserve">• Estimación orientativa para planificar el protocolo; no sustituye a la valoración clínica. </t>
  </si>
  <si>
    <t>3. Buchfuhrer MJ, Hansen JE, Robinson TE, et al. Optimizing the exercise protocol for cardiopulmonary assessment. J Appl Physiol Respir Environ Exerc Physiol. 1983;55(5):1558-1564.</t>
  </si>
  <si>
    <t>5. «Minuto en que se completa el escalón de Wmáx»: duración  de la prueba si el paciente llega a sus vatios máximos estimados.</t>
  </si>
  <si>
    <t>Varón</t>
  </si>
  <si>
    <t>Sedentario</t>
  </si>
  <si>
    <t xml:space="preserve">• FRIEND se derivó en adultos sanos de 20-85 años y no incluye la actividad física: por eso los vatios teóricos se multiplican por un factor de perfil (cardiópata 0,80; sedentario 0,85; algo activo 1,00; activo 1,15; deportista 1,30), criterio orientativo del autor basado en el peso de la actividad física en los modelos sin ejercicio . </t>
  </si>
  <si>
    <r>
      <t xml:space="preserve">VO₂máx teórico (FRIEND) → vatios máximos → incremento por escalón. </t>
    </r>
    <r>
      <rPr>
        <b/>
        <i/>
        <sz val="12"/>
        <color rgb="FF595959"/>
        <rFont val="Verdana"/>
        <family val="2"/>
      </rPr>
      <t>Rellene solo las celdas amarillas</t>
    </r>
    <r>
      <rPr>
        <i/>
        <sz val="12"/>
        <color rgb="FF595959"/>
        <rFont val="Verdana"/>
        <family val="2"/>
      </rPr>
      <t xml:space="preserve"> (instrucciones a la derecha →).</t>
    </r>
  </si>
  <si>
    <t>Protocolo
(w * 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</si>
</sst>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 x14ac:knownFonts="1">
    <font>
      <sz val="11"/>
      <color theme="1"/>
      <name val="Calibri"/>
      <family val="2"/>
      <charset val="1"/>
    </font>
    <font>
      <sz val="12"/>
      <color theme="1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2"/>
      <color theme="1"/>
      <name val="Verdana"/>
      <family val="2"/>
    </font>
    <font>
      <b/>
      <sz val="10"/>
      <color rgb="FF000000"/>
      <name val="Verdana"/>
      <family val="2"/>
    </font>
    <font>
      <b/>
      <sz val="12"/>
      <color rgb="FF1F4E79"/>
      <name val="Verdana"/>
      <family val="2"/>
    </font>
    <font>
      <i/>
      <sz val="12"/>
      <color rgb="FF595959"/>
      <name val="Verdana"/>
      <family val="2"/>
    </font>
    <font>
      <b/>
      <sz val="12"/>
      <color rgb="FFFFFFFF"/>
      <name val="Verdana"/>
      <family val="2"/>
    </font>
    <font>
      <sz val="12"/>
      <color rgb="FF000000"/>
      <name val="Verdana"/>
      <family val="2"/>
    </font>
    <font>
      <b/>
      <sz val="12"/>
      <color rgb="FF0000FF"/>
      <name val="Verdana"/>
      <family val="2"/>
    </font>
    <font>
      <b/>
      <sz val="12"/>
      <color rgb="FF000000"/>
      <name val="Verdana"/>
      <family val="2"/>
    </font>
    <font>
      <b/>
      <sz val="12"/>
      <color rgb="FFC00000"/>
      <name val="Verdana"/>
      <family val="2"/>
    </font>
    <font>
      <sz val="12"/>
      <color rgb="FFC00000"/>
      <name val="Verdana"/>
      <family val="2"/>
    </font>
    <font>
      <sz val="12"/>
      <color rgb="FF404040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i/>
      <sz val="12"/>
      <color theme="0" tint="-0.499984740745262"/>
      <name val="Verdana"/>
      <family val="2"/>
    </font>
    <font>
      <sz val="12"/>
      <color theme="0" tint="-0.499984740745262"/>
      <name val="Verdana"/>
      <family val="2"/>
    </font>
    <font>
      <sz val="10"/>
      <color theme="1"/>
      <name val="Verdana"/>
      <family val="2"/>
    </font>
    <font>
      <b/>
      <sz val="11"/>
      <color rgb="FFFF0000"/>
      <name val="Verdana"/>
      <family val="2"/>
    </font>
    <font>
      <b/>
      <sz val="10"/>
      <color rgb="FFFF0000"/>
      <name val="Verdana"/>
      <family val="2"/>
    </font>
    <font>
      <b/>
      <i/>
      <sz val="12"/>
      <color rgb="FF595959"/>
      <name val="Verdana"/>
      <family val="2"/>
    </font>
    <font>
      <b/>
      <sz val="10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FFFF99"/>
        <bgColor rgb="FFFFF2CC"/>
      </patternFill>
    </fill>
    <fill>
      <patternFill patternType="solid">
        <fgColor rgb="FFFFF2CC"/>
        <bgColor rgb="FFE2EFDA"/>
      </patternFill>
    </fill>
    <fill>
      <patternFill patternType="solid">
        <fgColor rgb="FFE2EFDA"/>
        <bgColor rgb="FFDDEBF7"/>
      </patternFill>
    </fill>
    <fill>
      <patternFill patternType="solid">
        <fgColor rgb="FFDDEBF7"/>
        <bgColor rgb="FFE2EFDA"/>
      </patternFill>
    </fill>
    <fill>
      <patternFill patternType="solid">
        <fgColor rgb="FFFFF2CC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DEEBF7"/>
        <bgColor indexed="64"/>
      </patternFill>
    </fill>
  </fills>
  <borders count="11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rgb="FFBFBFB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6" fillId="0" borderId="0" xfId="0" applyFont="1"/>
    <xf numFmtId="0" fontId="1" fillId="0" borderId="0" xfId="0" applyFont="1"/>
    <xf numFmtId="0" fontId="7" fillId="0" borderId="0" xfId="0" applyFont="1"/>
    <xf numFmtId="0" fontId="8" fillId="2" borderId="0" xfId="0" applyFont="1" applyFill="1"/>
    <xf numFmtId="0" fontId="1" fillId="2" borderId="0" xfId="0" applyFont="1" applyFill="1"/>
    <xf numFmtId="0" fontId="9" fillId="0" borderId="0" xfId="0" applyFont="1"/>
    <xf numFmtId="164" fontId="11" fillId="5" borderId="1" xfId="0" applyNumberFormat="1" applyFont="1" applyFill="1" applyBorder="1" applyAlignment="1">
      <alignment horizontal="center" vertical="center" wrapText="1"/>
    </xf>
    <xf numFmtId="1" fontId="11" fillId="5" borderId="1" xfId="0" applyNumberFormat="1" applyFont="1" applyFill="1" applyBorder="1" applyAlignment="1">
      <alignment horizontal="center" vertical="center" wrapText="1"/>
    </xf>
    <xf numFmtId="1" fontId="12" fillId="5" borderId="1" xfId="0" applyNumberFormat="1" applyFont="1" applyFill="1" applyBorder="1" applyAlignment="1">
      <alignment horizontal="center" vertical="center" wrapText="1"/>
    </xf>
    <xf numFmtId="2" fontId="11" fillId="5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top" wrapText="1"/>
    </xf>
    <xf numFmtId="0" fontId="5" fillId="6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left" vertical="top" wrapText="1"/>
    </xf>
    <xf numFmtId="0" fontId="4" fillId="0" borderId="0" xfId="0" applyFont="1"/>
    <xf numFmtId="0" fontId="17" fillId="0" borderId="0" xfId="0" applyFont="1"/>
    <xf numFmtId="0" fontId="18" fillId="0" borderId="0" xfId="0" applyFont="1"/>
    <xf numFmtId="0" fontId="8" fillId="2" borderId="2" xfId="0" applyFont="1" applyFill="1" applyBorder="1" applyAlignment="1">
      <alignment vertical="top" wrapText="1"/>
    </xf>
    <xf numFmtId="0" fontId="19" fillId="4" borderId="3" xfId="0" applyFont="1" applyFill="1" applyBorder="1" applyAlignment="1">
      <alignment vertical="top" wrapText="1"/>
    </xf>
    <xf numFmtId="0" fontId="19" fillId="4" borderId="5" xfId="0" applyFont="1" applyFill="1" applyBorder="1" applyAlignment="1">
      <alignment vertical="top" wrapText="1"/>
    </xf>
    <xf numFmtId="0" fontId="19" fillId="4" borderId="6" xfId="0" applyFont="1" applyFill="1" applyBorder="1" applyAlignment="1">
      <alignment vertical="top" wrapText="1"/>
    </xf>
    <xf numFmtId="0" fontId="19" fillId="4" borderId="7" xfId="0" applyFont="1" applyFill="1" applyBorder="1" applyAlignment="1">
      <alignment vertical="top" wrapText="1"/>
    </xf>
    <xf numFmtId="0" fontId="19" fillId="7" borderId="4" xfId="0" applyFont="1" applyFill="1" applyBorder="1" applyAlignment="1">
      <alignment horizontal="left" vertical="top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" fontId="12" fillId="8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  <xf numFmtId="1" fontId="10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10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8" xfId="0" applyFont="1" applyFill="1" applyBorder="1" applyAlignment="1" applyProtection="1">
      <alignment horizontal="center" vertical="center" wrapText="1"/>
      <protection locked="0"/>
    </xf>
    <xf numFmtId="1" fontId="10" fillId="3" borderId="9" xfId="0" applyNumberFormat="1" applyFont="1" applyFill="1" applyBorder="1" applyAlignment="1" applyProtection="1">
      <alignment horizontal="center" vertical="center" wrapText="1"/>
      <protection locked="0"/>
    </xf>
    <xf numFmtId="1" fontId="9" fillId="0" borderId="10" xfId="0" applyNumberFormat="1" applyFont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DD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EEBF7"/>
      <color rgb="FFE2EFDA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"/>
  <sheetViews>
    <sheetView showGridLines="0" tabSelected="1" zoomScaleNormal="100" workbookViewId="0">
      <pane ySplit="3" topLeftCell="A4" activePane="bottomLeft" state="frozen"/>
      <selection pane="bottomLeft" activeCell="B9" sqref="B9"/>
    </sheetView>
  </sheetViews>
  <sheetFormatPr baseColWidth="10" defaultColWidth="8.6640625" defaultRowHeight="16" x14ac:dyDescent="0.2"/>
  <cols>
    <col min="1" max="1" width="52.1640625" style="2" customWidth="1"/>
    <col min="2" max="2" width="22" style="2" customWidth="1"/>
    <col min="3" max="3" width="14" style="2" customWidth="1"/>
    <col min="4" max="4" width="16.6640625" style="2" customWidth="1"/>
    <col min="5" max="5" width="14" style="2" customWidth="1"/>
    <col min="6" max="6" width="22" style="2" customWidth="1"/>
    <col min="7" max="7" width="16.83203125" style="2" customWidth="1"/>
    <col min="8" max="8" width="14" style="2" customWidth="1"/>
    <col min="9" max="9" width="3" style="2" customWidth="1"/>
    <col min="10" max="10" width="64" style="2" customWidth="1"/>
    <col min="11" max="16384" width="8.6640625" style="2"/>
  </cols>
  <sheetData>
    <row r="1" spans="1:10" x14ac:dyDescent="0.2">
      <c r="A1" s="1" t="s">
        <v>0</v>
      </c>
    </row>
    <row r="2" spans="1:10" x14ac:dyDescent="0.2">
      <c r="A2" s="3" t="s">
        <v>57</v>
      </c>
    </row>
    <row r="4" spans="1:10" ht="17" x14ac:dyDescent="0.2">
      <c r="A4" s="4" t="s">
        <v>1</v>
      </c>
      <c r="B4" s="5"/>
      <c r="C4" s="5"/>
      <c r="D4" s="5"/>
      <c r="E4" s="5"/>
      <c r="F4" s="5"/>
      <c r="G4" s="5"/>
      <c r="H4" s="5"/>
      <c r="J4" s="21" t="s">
        <v>2</v>
      </c>
    </row>
    <row r="5" spans="1:10" ht="27" customHeight="1" x14ac:dyDescent="0.2">
      <c r="A5" s="6" t="s">
        <v>3</v>
      </c>
      <c r="B5" s="32">
        <v>60</v>
      </c>
      <c r="J5" s="22" t="s">
        <v>45</v>
      </c>
    </row>
    <row r="6" spans="1:10" ht="27" customHeight="1" x14ac:dyDescent="0.2">
      <c r="A6" s="6" t="s">
        <v>47</v>
      </c>
      <c r="B6" s="34" t="s">
        <v>54</v>
      </c>
      <c r="C6" s="27" t="str">
        <f>IF(B6="","⚠ Elija sexo","")</f>
        <v/>
      </c>
      <c r="J6" s="26" t="s">
        <v>46</v>
      </c>
    </row>
    <row r="7" spans="1:10" ht="27" customHeight="1" x14ac:dyDescent="0.2">
      <c r="A7" s="6" t="s">
        <v>5</v>
      </c>
      <c r="B7" s="33">
        <v>85</v>
      </c>
      <c r="J7" s="23" t="s">
        <v>4</v>
      </c>
    </row>
    <row r="8" spans="1:10" ht="27" customHeight="1" x14ac:dyDescent="0.2">
      <c r="A8" s="6" t="s">
        <v>7</v>
      </c>
      <c r="B8" s="32">
        <v>172</v>
      </c>
      <c r="J8" s="24" t="s">
        <v>6</v>
      </c>
    </row>
    <row r="9" spans="1:10" ht="34" customHeight="1" x14ac:dyDescent="0.2">
      <c r="A9" s="6" t="s">
        <v>48</v>
      </c>
      <c r="B9" s="34" t="s">
        <v>55</v>
      </c>
      <c r="C9" s="27" t="str">
        <f>IF(B9="","⚠ Elija perfil","")</f>
        <v/>
      </c>
      <c r="J9" s="24" t="s">
        <v>8</v>
      </c>
    </row>
    <row r="10" spans="1:10" ht="27" customHeight="1" x14ac:dyDescent="0.2">
      <c r="A10" s="6" t="s">
        <v>10</v>
      </c>
      <c r="B10" s="35">
        <v>20</v>
      </c>
      <c r="D10" s="19" t="s">
        <v>11</v>
      </c>
      <c r="E10" s="20"/>
      <c r="J10" s="24" t="s">
        <v>9</v>
      </c>
    </row>
    <row r="11" spans="1:10" ht="27" customHeight="1" x14ac:dyDescent="0.2">
      <c r="A11" s="6" t="s">
        <v>12</v>
      </c>
      <c r="B11" s="32">
        <v>10</v>
      </c>
      <c r="D11" s="19" t="s">
        <v>13</v>
      </c>
      <c r="E11" s="20"/>
      <c r="J11" s="24" t="s">
        <v>53</v>
      </c>
    </row>
    <row r="12" spans="1:10" ht="23" customHeight="1" x14ac:dyDescent="0.2">
      <c r="A12" s="6" t="s">
        <v>49</v>
      </c>
      <c r="B12" s="34" t="s">
        <v>14</v>
      </c>
      <c r="C12" s="28" t="str">
        <f>IF(B12="","Elija ecuación","")</f>
        <v/>
      </c>
      <c r="D12" s="19" t="s">
        <v>41</v>
      </c>
      <c r="E12" s="20"/>
      <c r="J12" s="25" t="s">
        <v>50</v>
      </c>
    </row>
    <row r="13" spans="1:10" ht="17" customHeight="1" x14ac:dyDescent="0.2">
      <c r="D13" s="19" t="s">
        <v>42</v>
      </c>
      <c r="E13" s="20"/>
    </row>
    <row r="14" spans="1:10" x14ac:dyDescent="0.2">
      <c r="A14" s="4" t="s">
        <v>15</v>
      </c>
      <c r="B14" s="5"/>
      <c r="C14" s="5"/>
      <c r="D14" s="5"/>
      <c r="E14" s="5"/>
      <c r="F14" s="5"/>
      <c r="G14" s="5"/>
      <c r="H14" s="5"/>
    </row>
    <row r="15" spans="1:10" ht="19" customHeight="1" x14ac:dyDescent="0.2">
      <c r="A15" s="15" t="s">
        <v>16</v>
      </c>
      <c r="B15" s="7">
        <f>45.2-0.35*B5-10.9*IF(B6="Varón",1,2)-0.15*(B7*2.2046)+0.68*(B8/2.54)-0.46*2</f>
        <v>30.318594094488184</v>
      </c>
    </row>
    <row r="16" spans="1:10" ht="19" customHeight="1" x14ac:dyDescent="0.2">
      <c r="A16" s="15" t="s">
        <v>17</v>
      </c>
      <c r="B16" s="7">
        <f>B15/3.5</f>
        <v>8.6624554555680522</v>
      </c>
    </row>
    <row r="17" spans="1:8" ht="19" customHeight="1" x14ac:dyDescent="0.2">
      <c r="A17" s="15" t="s">
        <v>18</v>
      </c>
      <c r="B17" s="8">
        <f>IF(B12="ACSM",(B15-7)*B7/11.016,IF(B12="Wasserman/Hansen",(B15*B7-5.8*B7-151)/10.1,(B15-3.5)*B7/10.6488))</f>
        <v>214.06923766353916</v>
      </c>
    </row>
    <row r="18" spans="1:8" ht="19" customHeight="1" x14ac:dyDescent="0.2">
      <c r="A18" s="16" t="s">
        <v>19</v>
      </c>
      <c r="B18" s="9">
        <f>B17*B20</f>
        <v>181.95885201400827</v>
      </c>
      <c r="D18" s="3" t="s">
        <v>20</v>
      </c>
    </row>
    <row r="19" spans="1:8" ht="19" customHeight="1" x14ac:dyDescent="0.2">
      <c r="A19" s="15" t="s">
        <v>21</v>
      </c>
      <c r="B19" s="8">
        <f>IF(OR(B9="Cardiópata",B9="Sedentario"),10,IF(B9="Activo",20,IF(B9="Deportista / ciclista",25,15)))</f>
        <v>10</v>
      </c>
    </row>
    <row r="20" spans="1:8" ht="19" customHeight="1" x14ac:dyDescent="0.2">
      <c r="A20" s="15" t="s">
        <v>22</v>
      </c>
      <c r="B20" s="10">
        <f>IF(B9="Cardiópata",0.8,IF(B9="Sedentario",0.85,IF(B9="Activo",1.15,IF(B9="Deportista / ciclista",1.3,1))))</f>
        <v>0.85</v>
      </c>
    </row>
    <row r="21" spans="1:8" x14ac:dyDescent="0.2">
      <c r="A21" s="4" t="s">
        <v>23</v>
      </c>
      <c r="B21" s="5"/>
      <c r="C21" s="5"/>
      <c r="D21" s="5"/>
      <c r="E21" s="5"/>
      <c r="F21" s="5"/>
      <c r="G21" s="5"/>
      <c r="H21" s="5"/>
    </row>
    <row r="22" spans="1:8" ht="55" customHeight="1" x14ac:dyDescent="0.2">
      <c r="A22" s="14" t="s">
        <v>24</v>
      </c>
      <c r="B22" s="14" t="s">
        <v>25</v>
      </c>
      <c r="C22" s="14" t="s">
        <v>26</v>
      </c>
      <c r="D22" s="14" t="s">
        <v>27</v>
      </c>
      <c r="E22" s="14" t="s">
        <v>28</v>
      </c>
      <c r="F22" s="14" t="s">
        <v>29</v>
      </c>
      <c r="G22" s="14" t="s">
        <v>30</v>
      </c>
      <c r="H22" s="37" t="s">
        <v>58</v>
      </c>
    </row>
    <row r="23" spans="1:8" ht="48" customHeight="1" x14ac:dyDescent="0.2">
      <c r="A23" s="29">
        <v>1</v>
      </c>
      <c r="B23" s="12">
        <f>$B$11/A23</f>
        <v>10</v>
      </c>
      <c r="C23" s="12">
        <f>MAX($B$18-$B$10,0)/MAX(B23-1,1)</f>
        <v>17.995428001556476</v>
      </c>
      <c r="D23" s="9">
        <f>MAX(ROUND(C23/5,0)*5,5)</f>
        <v>20</v>
      </c>
      <c r="E23" s="11">
        <f>$B$19*A23</f>
        <v>10</v>
      </c>
      <c r="F23" s="13" t="str">
        <f>IF(D23&lt;E23,"Por debajo del mínimo habitual: acorte el tiempo","")</f>
        <v/>
      </c>
      <c r="G23" s="36">
        <f>IF(D23&gt;0,(ROUNDUP(MAX($B$18-$B$10,0)/D23,0)+1)*A23,0)</f>
        <v>10</v>
      </c>
      <c r="H23" s="38" t="str">
        <f>CONCATENATE(D23," *",A23,)</f>
        <v>20 *1</v>
      </c>
    </row>
    <row r="24" spans="1:8" ht="49" customHeight="1" x14ac:dyDescent="0.2">
      <c r="A24" s="29">
        <v>2</v>
      </c>
      <c r="B24" s="12">
        <f>$B$11/A24</f>
        <v>5</v>
      </c>
      <c r="C24" s="12">
        <f>MAX($B$18-$B$10,0)/MAX(B24-1,1)</f>
        <v>40.489713003502068</v>
      </c>
      <c r="D24" s="9">
        <f>MAX(ROUND(C24/5,0)*5,5)</f>
        <v>40</v>
      </c>
      <c r="E24" s="11">
        <f>$B$19*A24</f>
        <v>20</v>
      </c>
      <c r="F24" s="13" t="str">
        <f>IF(D24&lt;E24,"Por debajo del mínimo habitual: acorte el tiempo","")</f>
        <v/>
      </c>
      <c r="G24" s="36">
        <f>IF(D24&gt;0,(ROUNDUP(MAX($B$18-$B$10,0)/D24,0)+1)*A24,0)</f>
        <v>12</v>
      </c>
      <c r="H24" s="38" t="str">
        <f t="shared" ref="H24:H25" si="0">CONCATENATE(D24," *",A24,)</f>
        <v>40 *2</v>
      </c>
    </row>
    <row r="25" spans="1:8" ht="59" customHeight="1" x14ac:dyDescent="0.2">
      <c r="A25" s="29">
        <v>3</v>
      </c>
      <c r="B25" s="12">
        <f>$B$11/A25</f>
        <v>3.3333333333333335</v>
      </c>
      <c r="C25" s="12">
        <f>MAX($B$18-$B$10,0)/MAX(B25-1,1)</f>
        <v>69.410936577432111</v>
      </c>
      <c r="D25" s="9">
        <f>MAX(ROUND(C25/5,0)*5,5)</f>
        <v>70</v>
      </c>
      <c r="E25" s="11">
        <f>$B$19*A25</f>
        <v>30</v>
      </c>
      <c r="F25" s="13" t="str">
        <f>IF(D25&lt;E25,"Por debajo del mínimo habitual: acorte el tiempo","")</f>
        <v/>
      </c>
      <c r="G25" s="36">
        <f>IF(D25&gt;0,(ROUNDUP(MAX($B$18-$B$10,0)/D25,0)+1)*A25,0)</f>
        <v>12</v>
      </c>
      <c r="H25" s="38" t="str">
        <f t="shared" si="0"/>
        <v>70 *3</v>
      </c>
    </row>
    <row r="26" spans="1:8" x14ac:dyDescent="0.2">
      <c r="A26" s="19" t="s">
        <v>43</v>
      </c>
    </row>
    <row r="27" spans="1:8" x14ac:dyDescent="0.2">
      <c r="A27" s="19" t="s">
        <v>44</v>
      </c>
    </row>
    <row r="28" spans="1:8" x14ac:dyDescent="0.2">
      <c r="A28" s="4" t="s">
        <v>31</v>
      </c>
      <c r="B28" s="5"/>
      <c r="C28" s="5"/>
      <c r="D28" s="5"/>
      <c r="E28" s="5"/>
      <c r="F28" s="5"/>
      <c r="G28" s="5"/>
      <c r="H28" s="5"/>
    </row>
    <row r="29" spans="1:8" ht="24" customHeight="1" x14ac:dyDescent="0.2">
      <c r="A29" s="30" t="s">
        <v>51</v>
      </c>
      <c r="B29" s="30"/>
      <c r="C29" s="30"/>
      <c r="D29" s="30"/>
      <c r="E29" s="30"/>
      <c r="F29" s="30"/>
      <c r="G29" s="30"/>
      <c r="H29" s="30"/>
    </row>
    <row r="30" spans="1:8" ht="38" customHeight="1" x14ac:dyDescent="0.2">
      <c r="A30" s="30" t="s">
        <v>56</v>
      </c>
      <c r="B30" s="30"/>
      <c r="C30" s="30"/>
      <c r="D30" s="30"/>
      <c r="E30" s="30"/>
      <c r="F30" s="30"/>
      <c r="G30" s="30"/>
      <c r="H30" s="30"/>
    </row>
    <row r="31" spans="1:8" ht="37" customHeight="1" x14ac:dyDescent="0.2">
      <c r="A31" s="30" t="s">
        <v>32</v>
      </c>
      <c r="B31" s="30"/>
      <c r="C31" s="30"/>
      <c r="D31" s="30"/>
      <c r="E31" s="30"/>
      <c r="F31" s="30"/>
      <c r="G31" s="30"/>
      <c r="H31" s="30"/>
    </row>
    <row r="32" spans="1:8" ht="24" customHeight="1" x14ac:dyDescent="0.2"/>
    <row r="33" ht="24" customHeight="1" x14ac:dyDescent="0.2"/>
    <row r="34" ht="24" customHeight="1" x14ac:dyDescent="0.2"/>
    <row r="35" ht="24" customHeight="1" x14ac:dyDescent="0.2"/>
    <row r="36" ht="24" customHeight="1" x14ac:dyDescent="0.2"/>
    <row r="37" ht="24" customHeight="1" x14ac:dyDescent="0.2"/>
    <row r="38" ht="24" customHeight="1" x14ac:dyDescent="0.2"/>
    <row r="39" ht="12.75" customHeight="1" x14ac:dyDescent="0.2"/>
  </sheetData>
  <sheetProtection algorithmName="SHA-512" hashValue="FAngOMHo1lILIuS2+yaHBvoaI0Pe73t1LfdyFP06pTdVEHrhE8hBdDBMPrMMU0DClnBfZS+3zx78C3vQkuBy3A==" saltValue="TjqMRIVypDDUX2v3MYdRsw==" spinCount="100000" sheet="1" objects="1" scenarios="1" selectLockedCells="1"/>
  <mergeCells count="3">
    <mergeCell ref="A29:H29"/>
    <mergeCell ref="A30:H30"/>
    <mergeCell ref="A31:H31"/>
  </mergeCells>
  <dataValidations count="8">
    <dataValidation type="list" sqref="B6" xr:uid="{00000000-0002-0000-0000-000000000000}">
      <formula1>"Varón,Mujer"</formula1>
      <formula2>0</formula2>
    </dataValidation>
    <dataValidation type="list" sqref="B9" xr:uid="{00000000-0002-0000-0000-000001000000}">
      <formula1>"Cardiópata,Sedentario,Algo activo,Activo,Deportista / ciclista"</formula1>
      <formula2>0</formula2>
    </dataValidation>
    <dataValidation type="list" sqref="B12" xr:uid="{00000000-0002-0000-0000-000002000000}">
      <formula1>"FRIEND ciclo,Wasserman/Hansen,ACSM"</formula1>
      <formula2>0</formula2>
    </dataValidation>
    <dataValidation type="whole" sqref="B11" xr:uid="{00000000-0002-0000-0000-000003000000}">
      <formula1>4</formula1>
      <formula2>20</formula2>
    </dataValidation>
    <dataValidation type="whole" allowBlank="1" showInputMessage="1" showErrorMessage="1" sqref="B5" xr:uid="{EDB8102A-4752-F14A-9AE1-DAB25299CF19}">
      <formula1>18</formula1>
      <formula2>90</formula2>
    </dataValidation>
    <dataValidation type="decimal" allowBlank="1" showInputMessage="1" showErrorMessage="1" sqref="B7" xr:uid="{ACCF95A1-7B2A-854D-A73C-692AE4A9DA3D}">
      <formula1>30</formula1>
      <formula2>200</formula2>
    </dataValidation>
    <dataValidation type="whole" allowBlank="1" showInputMessage="1" showErrorMessage="1" sqref="B8" xr:uid="{0646307C-2F95-C141-BF10-FF30CD2D5608}">
      <formula1>120</formula1>
      <formula2>220</formula2>
    </dataValidation>
    <dataValidation type="whole" allowBlank="1" showInputMessage="1" showErrorMessage="1" sqref="B10" xr:uid="{4B1F9E8C-910A-A444-818E-F0214C229B0B}">
      <formula1>0</formula1>
      <formula2>100</formula2>
    </dataValidation>
  </dataValidations>
  <pageMargins left="0.75" right="0.75" top="1" bottom="1" header="0.511811023622047" footer="0.511811023622047"/>
  <pageSetup fitToHeight="0" orientation="portrait" horizontalDpi="300" verticalDpi="30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55DD4-0A5E-664B-8B34-2BC341A6EC9D}">
  <dimension ref="A1:H10"/>
  <sheetViews>
    <sheetView workbookViewId="0">
      <selection activeCell="E20" sqref="E20"/>
    </sheetView>
  </sheetViews>
  <sheetFormatPr baseColWidth="10" defaultRowHeight="15" x14ac:dyDescent="0.2"/>
  <cols>
    <col min="1" max="1" width="93.1640625" customWidth="1"/>
  </cols>
  <sheetData>
    <row r="1" spans="1:8" ht="16" x14ac:dyDescent="0.2">
      <c r="A1" s="18" t="s">
        <v>40</v>
      </c>
    </row>
    <row r="3" spans="1:8" ht="51" x14ac:dyDescent="0.2">
      <c r="A3" s="17" t="s">
        <v>33</v>
      </c>
      <c r="B3" s="17"/>
      <c r="C3" s="17"/>
      <c r="D3" s="17"/>
      <c r="E3" s="17"/>
      <c r="F3" s="17"/>
      <c r="G3" s="17"/>
      <c r="H3" s="17"/>
    </row>
    <row r="4" spans="1:8" ht="43" customHeight="1" x14ac:dyDescent="0.2">
      <c r="A4" s="17" t="s">
        <v>34</v>
      </c>
      <c r="B4" s="17"/>
      <c r="C4" s="17"/>
      <c r="D4" s="17"/>
      <c r="E4" s="17"/>
      <c r="F4" s="17"/>
      <c r="G4" s="17"/>
      <c r="H4" s="17"/>
    </row>
    <row r="5" spans="1:8" ht="51" x14ac:dyDescent="0.2">
      <c r="A5" s="17" t="s">
        <v>52</v>
      </c>
      <c r="B5" s="17"/>
      <c r="C5" s="17"/>
      <c r="D5" s="17"/>
      <c r="E5" s="17"/>
      <c r="F5" s="17"/>
      <c r="G5" s="17"/>
      <c r="H5" s="17"/>
    </row>
    <row r="6" spans="1:8" ht="34" x14ac:dyDescent="0.2">
      <c r="A6" s="17" t="s">
        <v>35</v>
      </c>
      <c r="B6" s="17"/>
      <c r="C6" s="17"/>
      <c r="D6" s="17"/>
      <c r="E6" s="17"/>
      <c r="F6" s="17"/>
      <c r="G6" s="17"/>
      <c r="H6" s="17"/>
    </row>
    <row r="7" spans="1:8" ht="51" x14ac:dyDescent="0.2">
      <c r="A7" s="17" t="s">
        <v>36</v>
      </c>
      <c r="B7" s="17"/>
      <c r="C7" s="17"/>
      <c r="D7" s="17"/>
      <c r="E7" s="17"/>
      <c r="F7" s="17"/>
      <c r="G7" s="17"/>
      <c r="H7" s="17"/>
    </row>
    <row r="8" spans="1:8" ht="51" x14ac:dyDescent="0.2">
      <c r="A8" s="17" t="s">
        <v>37</v>
      </c>
      <c r="B8" s="17"/>
      <c r="C8" s="17"/>
      <c r="D8" s="17"/>
      <c r="E8" s="17"/>
      <c r="F8" s="17"/>
      <c r="G8" s="17"/>
      <c r="H8" s="17"/>
    </row>
    <row r="9" spans="1:8" ht="44" customHeight="1" x14ac:dyDescent="0.2">
      <c r="A9" s="17" t="s">
        <v>38</v>
      </c>
      <c r="B9" s="17"/>
      <c r="C9" s="17"/>
      <c r="D9" s="17"/>
      <c r="E9" s="17"/>
      <c r="F9" s="17"/>
      <c r="G9" s="17"/>
      <c r="H9" s="17"/>
    </row>
    <row r="10" spans="1:8" ht="16" x14ac:dyDescent="0.2">
      <c r="A10" s="31" t="s">
        <v>39</v>
      </c>
      <c r="B10" s="31"/>
      <c r="C10" s="31"/>
      <c r="D10" s="31"/>
      <c r="E10" s="31"/>
      <c r="F10" s="31"/>
      <c r="G10" s="31"/>
      <c r="H10" s="31"/>
    </row>
  </sheetData>
  <sheetProtection algorithmName="SHA-512" hashValue="SPSze0knwr+VZjWzmW52k0yJGnH8hRQG20WApe1AK/ziSQNOIRZjWVm43YeLY2IXC/Myi2asHn64qrfgefoYxg==" saltValue="A/KcwIUAyend0zii+gbdcQ==" spinCount="100000" sheet="1" objects="1" scenarios="1" selectLockedCells="1"/>
  <mergeCells count="1">
    <mergeCell ref="A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Protocolo</vt:lpstr>
      <vt:lpstr>Referencias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Miguel Chiacchio</cp:lastModifiedBy>
  <cp:revision>0</cp:revision>
  <dcterms:created xsi:type="dcterms:W3CDTF">2026-11-05T05:39:39Z</dcterms:created>
  <dcterms:modified xsi:type="dcterms:W3CDTF">2026-11-07T16:51:20Z</dcterms:modified>
  <dc:language>en-US</dc:language>
</cp:coreProperties>
</file>